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activeTab="0"/>
  </bookViews>
  <sheets>
    <sheet name="Excel Version" sheetId="1" r:id="rId1"/>
    <sheet name="Compatible Version" sheetId="2" r:id="rId2"/>
  </sheets>
  <definedNames/>
  <calcPr fullCalcOnLoad="1"/>
</workbook>
</file>

<file path=xl/sharedStrings.xml><?xml version="1.0" encoding="utf-8"?>
<sst xmlns="http://schemas.openxmlformats.org/spreadsheetml/2006/main" count="127" uniqueCount="51">
  <si>
    <t>Sensor =</t>
  </si>
  <si>
    <t>Half-Angle FOV =</t>
  </si>
  <si>
    <r>
      <t>Visible Surface Area (m</t>
    </r>
    <r>
      <rPr>
        <vertAlign val="superscript"/>
        <sz val="11"/>
        <color indexed="8"/>
        <rFont val="Calibri"/>
        <family val="2"/>
      </rPr>
      <t>2</t>
    </r>
    <r>
      <rPr>
        <sz val="11"/>
        <color theme="1"/>
        <rFont val="Calibri"/>
        <family val="2"/>
      </rPr>
      <t>) =</t>
    </r>
  </si>
  <si>
    <t>SI-131</t>
  </si>
  <si>
    <t>Sensor</t>
  </si>
  <si>
    <t>SI-111</t>
  </si>
  <si>
    <r>
      <t>Half-Angle FOV (</t>
    </r>
    <r>
      <rPr>
        <b/>
        <sz val="10"/>
        <rFont val="Calibri"/>
        <family val="2"/>
      </rPr>
      <t>φ</t>
    </r>
    <r>
      <rPr>
        <b/>
        <sz val="10"/>
        <rFont val="Arial"/>
        <family val="2"/>
      </rPr>
      <t>) =</t>
    </r>
  </si>
  <si>
    <t>BO=</t>
  </si>
  <si>
    <t>DO=</t>
  </si>
  <si>
    <t>AO=</t>
  </si>
  <si>
    <t>AD=</t>
  </si>
  <si>
    <t>a=AC=CD=</t>
  </si>
  <si>
    <t>BD=</t>
  </si>
  <si>
    <t>BC=</t>
  </si>
  <si>
    <t>BH=</t>
  </si>
  <si>
    <t>BE=</t>
  </si>
  <si>
    <t>b=CF=</t>
  </si>
  <si>
    <r>
      <t xml:space="preserve">Area = </t>
    </r>
    <r>
      <rPr>
        <b/>
        <sz val="10"/>
        <rFont val="Calibri"/>
        <family val="2"/>
      </rPr>
      <t>π</t>
    </r>
    <r>
      <rPr>
        <b/>
        <sz val="10"/>
        <rFont val="Arial"/>
        <family val="2"/>
      </rPr>
      <t>ab =</t>
    </r>
  </si>
  <si>
    <t>SI-1H1</t>
  </si>
  <si>
    <t>Units</t>
  </si>
  <si>
    <r>
      <t>Half-Angle FOV (</t>
    </r>
    <r>
      <rPr>
        <b/>
        <sz val="10"/>
        <rFont val="Calibri"/>
        <family val="2"/>
      </rPr>
      <t>φ</t>
    </r>
    <r>
      <rPr>
        <b/>
        <vertAlign val="subscript"/>
        <sz val="10"/>
        <rFont val="Calibri"/>
        <family val="2"/>
      </rPr>
      <t>H</t>
    </r>
    <r>
      <rPr>
        <b/>
        <sz val="10"/>
        <rFont val="Arial"/>
        <family val="2"/>
      </rPr>
      <t>) =</t>
    </r>
  </si>
  <si>
    <t>o</t>
  </si>
  <si>
    <r>
      <t>Half-Angle FOV (</t>
    </r>
    <r>
      <rPr>
        <b/>
        <sz val="10"/>
        <rFont val="Calibri"/>
        <family val="2"/>
      </rPr>
      <t>φ</t>
    </r>
    <r>
      <rPr>
        <b/>
        <vertAlign val="subscript"/>
        <sz val="10"/>
        <rFont val="Calibri"/>
        <family val="2"/>
      </rPr>
      <t>V</t>
    </r>
    <r>
      <rPr>
        <b/>
        <sz val="10"/>
        <rFont val="Arial"/>
        <family val="2"/>
      </rPr>
      <t>) =</t>
    </r>
  </si>
  <si>
    <t>BO =</t>
  </si>
  <si>
    <t>m</t>
  </si>
  <si>
    <r>
      <t>G</t>
    </r>
    <r>
      <rPr>
        <b/>
        <vertAlign val="subscript"/>
        <sz val="10"/>
        <rFont val="Arial"/>
        <family val="2"/>
      </rPr>
      <t>1</t>
    </r>
    <r>
      <rPr>
        <b/>
        <sz val="10"/>
        <rFont val="Arial"/>
        <family val="2"/>
      </rPr>
      <t>O =</t>
    </r>
  </si>
  <si>
    <r>
      <t>G</t>
    </r>
    <r>
      <rPr>
        <b/>
        <vertAlign val="subscript"/>
        <sz val="10"/>
        <rFont val="Arial"/>
        <family val="2"/>
      </rPr>
      <t>2</t>
    </r>
    <r>
      <rPr>
        <b/>
        <sz val="10"/>
        <rFont val="Arial"/>
        <family val="2"/>
      </rPr>
      <t>O =</t>
    </r>
  </si>
  <si>
    <r>
      <t>V = G</t>
    </r>
    <r>
      <rPr>
        <b/>
        <vertAlign val="subscript"/>
        <sz val="10"/>
        <rFont val="Arial"/>
        <family val="2"/>
      </rPr>
      <t>2</t>
    </r>
    <r>
      <rPr>
        <b/>
        <sz val="10"/>
        <rFont val="Arial"/>
        <family val="2"/>
      </rPr>
      <t>O-G</t>
    </r>
    <r>
      <rPr>
        <b/>
        <vertAlign val="subscript"/>
        <sz val="10"/>
        <rFont val="Arial"/>
        <family val="2"/>
      </rPr>
      <t>1</t>
    </r>
    <r>
      <rPr>
        <b/>
        <sz val="10"/>
        <rFont val="Arial"/>
        <family val="2"/>
      </rPr>
      <t>O =</t>
    </r>
  </si>
  <si>
    <r>
      <t>H</t>
    </r>
    <r>
      <rPr>
        <b/>
        <vertAlign val="subscript"/>
        <sz val="10"/>
        <rFont val="Arial"/>
        <family val="2"/>
      </rPr>
      <t xml:space="preserve">near </t>
    </r>
    <r>
      <rPr>
        <b/>
        <sz val="10"/>
        <rFont val="Arial"/>
        <family val="2"/>
      </rPr>
      <t>= 2*G</t>
    </r>
    <r>
      <rPr>
        <b/>
        <vertAlign val="subscript"/>
        <sz val="10"/>
        <rFont val="Arial"/>
        <family val="2"/>
      </rPr>
      <t>1</t>
    </r>
    <r>
      <rPr>
        <b/>
        <sz val="10"/>
        <rFont val="Arial"/>
        <family val="2"/>
      </rPr>
      <t>E =</t>
    </r>
  </si>
  <si>
    <r>
      <t>H</t>
    </r>
    <r>
      <rPr>
        <b/>
        <vertAlign val="subscript"/>
        <sz val="10"/>
        <rFont val="Arial"/>
        <family val="2"/>
      </rPr>
      <t xml:space="preserve">far </t>
    </r>
    <r>
      <rPr>
        <b/>
        <sz val="10"/>
        <rFont val="Arial"/>
        <family val="2"/>
      </rPr>
      <t>= 2*G</t>
    </r>
    <r>
      <rPr>
        <b/>
        <vertAlign val="subscript"/>
        <sz val="10"/>
        <rFont val="Arial"/>
        <family val="2"/>
      </rPr>
      <t>2</t>
    </r>
    <r>
      <rPr>
        <b/>
        <sz val="10"/>
        <rFont val="Arial"/>
        <family val="2"/>
      </rPr>
      <t>F =</t>
    </r>
  </si>
  <si>
    <t>Area =</t>
  </si>
  <si>
    <r>
      <t>m</t>
    </r>
    <r>
      <rPr>
        <b/>
        <vertAlign val="superscript"/>
        <sz val="10"/>
        <rFont val="Arial"/>
        <family val="2"/>
      </rPr>
      <t>2</t>
    </r>
  </si>
  <si>
    <t>Sensor #</t>
  </si>
  <si>
    <t>Sensor name</t>
  </si>
  <si>
    <t>Half Angle</t>
  </si>
  <si>
    <t>SI-121</t>
  </si>
  <si>
    <t>13°/32</t>
  </si>
  <si>
    <r>
      <t>Angle from Surface Normal (</t>
    </r>
    <r>
      <rPr>
        <b/>
        <sz val="11"/>
        <color indexed="8"/>
        <rFont val="Calibri"/>
        <family val="2"/>
      </rPr>
      <t>θ) =</t>
    </r>
  </si>
  <si>
    <t>Height above surface (m) =</t>
  </si>
  <si>
    <t>If you can see this….Use "Compatible Version" on the next sheet</t>
  </si>
  <si>
    <t>Angle from Surface Normal (θ) =</t>
  </si>
  <si>
    <t>Downward Angle from Horizontal (°) =</t>
  </si>
  <si>
    <t>Height above Surface (m) =</t>
  </si>
  <si>
    <t>Choose a sensor</t>
  </si>
  <si>
    <t>Results</t>
  </si>
  <si>
    <t>Mounting parameters</t>
  </si>
  <si>
    <t>Details and Dimensions</t>
  </si>
  <si>
    <t>Angle from surface normal (°) =</t>
  </si>
  <si>
    <t>Max Theta</t>
  </si>
  <si>
    <r>
      <rPr>
        <b/>
        <sz val="10"/>
        <rFont val="Arial"/>
        <family val="2"/>
      </rPr>
      <t>Note to user:</t>
    </r>
    <r>
      <rPr>
        <sz val="10"/>
        <rFont val="Arial"/>
        <family val="2"/>
      </rPr>
      <t xml:space="preserve"> Choose a sensor, then input sensor height and angle (from normal to target surface). Visible surface area is calculated from the input parameters. At large angles and heights, it may be possible to see the horizon, and receive nearly infinite or unreal values for the calculated target area. Therefore, Apogee Instruments recommends the mounting angle to be no larger than 65</t>
    </r>
    <r>
      <rPr>
        <sz val="10"/>
        <rFont val="Calibri"/>
        <family val="2"/>
      </rPr>
      <t>°</t>
    </r>
    <r>
      <rPr>
        <sz val="10"/>
        <rFont val="Arial"/>
        <family val="2"/>
      </rPr>
      <t>, 69°, 73°, and 74°, for the SI-111, SI-121, SI-131, and SI-1H1 sensors, respectively. The images below illustrate the geometry and calculations, with the correspoding dimensional values listed underneath.</t>
    </r>
  </si>
  <si>
    <r>
      <rPr>
        <b/>
        <sz val="10"/>
        <rFont val="Arial"/>
        <family val="2"/>
      </rPr>
      <t>Note to user:</t>
    </r>
    <r>
      <rPr>
        <sz val="10"/>
        <rFont val="Arial"/>
        <family val="2"/>
      </rPr>
      <t xml:space="preserve"> </t>
    </r>
    <r>
      <rPr>
        <u val="single"/>
        <sz val="10"/>
        <rFont val="Arial"/>
        <family val="2"/>
      </rPr>
      <t>Only</t>
    </r>
    <r>
      <rPr>
        <sz val="10"/>
        <rFont val="Arial"/>
        <family val="2"/>
      </rPr>
      <t xml:space="preserve"> edit the green cells. The rest are filled with excel formulas. The yellow cells are the surface area calculated from your input parameters as shown in the green cells. The images below illustrate your calculations for the SI-111, SI-121, SI-131, and SI-1H1 sensors. At large values of θ and HO, it is possible to receive nearly infinite and unreal values for the calculated Target Area. Apogee Instruments recommends values for </t>
    </r>
    <r>
      <rPr>
        <sz val="10"/>
        <rFont val="Calibri"/>
        <family val="2"/>
      </rPr>
      <t>θ</t>
    </r>
    <r>
      <rPr>
        <sz val="10"/>
        <rFont val="Arial"/>
        <family val="2"/>
      </rPr>
      <t xml:space="preserve"> to be no larger than 65°, 69°, 73°, and 74°, for the SI-111, SI-121, SI-131, and SI-1H1 sensors, respectively.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</si>
</sst>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vertAlign val="superscript"/>
      <sz val="11"/>
      <color indexed="8"/>
      <name val="Calibri"/>
      <family val="2"/>
    </font>
    <font>
      <sz val="10"/>
      <name val="Arial"/>
      <family val="2"/>
    </font>
    <font>
      <b/>
      <sz val="10"/>
      <name val="Arial"/>
      <family val="2"/>
    </font>
    <font>
      <sz val="10"/>
      <name val="Calibri"/>
      <family val="2"/>
    </font>
    <font>
      <b/>
      <sz val="10"/>
      <name val="Calibri"/>
      <family val="2"/>
    </font>
    <font>
      <b/>
      <vertAlign val="subscript"/>
      <sz val="10"/>
      <name val="Calibri"/>
      <family val="2"/>
    </font>
    <font>
      <b/>
      <vertAlign val="superscript"/>
      <sz val="10"/>
      <name val="Arial"/>
      <family val="2"/>
    </font>
    <font>
      <b/>
      <vertAlign val="subscript"/>
      <sz val="10"/>
      <name val="Arial"/>
      <family val="2"/>
    </font>
    <font>
      <i/>
      <sz val="8"/>
      <name val="Arial"/>
      <family val="2"/>
    </font>
    <font>
      <sz val="8"/>
      <color indexed="8"/>
      <name val="Segoe UI"/>
      <family val="2"/>
    </font>
    <font>
      <b/>
      <sz val="11"/>
      <color indexed="8"/>
      <name val="Calibri"/>
      <family val="2"/>
    </font>
    <font>
      <u val="single"/>
      <sz val="10"/>
      <name val="Arial"/>
      <family val="2"/>
    </font>
    <font>
      <sz val="11"/>
      <name val="Calibri"/>
      <family val="2"/>
    </font>
    <font>
      <i/>
      <sz val="12"/>
      <color indexed="10"/>
      <name val="Calibri"/>
      <family val="2"/>
    </font>
    <font>
      <i/>
      <sz val="12"/>
      <color indexed="63"/>
      <name val="Calibri"/>
      <family val="2"/>
    </font>
    <font>
      <sz val="12"/>
      <color indexed="8"/>
      <name val="Calibri"/>
      <family val="2"/>
    </font>
    <font>
      <b/>
      <sz val="14"/>
      <color indexed="9"/>
      <name val="Calibri"/>
      <family val="2"/>
    </font>
    <font>
      <b/>
      <sz val="14"/>
      <color indexed="8"/>
      <name val="Calibri"/>
      <family val="2"/>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2"/>
      <color rgb="FFFF0000"/>
      <name val="Calibri"/>
      <family val="2"/>
    </font>
    <font>
      <i/>
      <sz val="12"/>
      <color theme="1" tint="0.34999001026153564"/>
      <name val="Calibri"/>
      <family val="2"/>
    </font>
    <font>
      <sz val="12"/>
      <color theme="1"/>
      <name val="Calibri"/>
      <family val="2"/>
    </font>
    <font>
      <b/>
      <sz val="14"/>
      <color theme="0"/>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FF66"/>
        <bgColor indexed="64"/>
      </patternFill>
    </fill>
    <fill>
      <patternFill patternType="solid">
        <fgColor rgb="FF2C724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Font="1" applyAlignment="1">
      <alignment/>
    </xf>
    <xf numFmtId="0" fontId="0" fillId="33" borderId="0" xfId="0"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0" xfId="0" applyFont="1" applyFill="1" applyBorder="1" applyAlignment="1">
      <alignment/>
    </xf>
    <xf numFmtId="0" fontId="0" fillId="33" borderId="1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horizontal="right"/>
    </xf>
    <xf numFmtId="0" fontId="0" fillId="33" borderId="11" xfId="0" applyFont="1" applyFill="1" applyBorder="1" applyAlignment="1">
      <alignment horizontal="right"/>
    </xf>
    <xf numFmtId="0" fontId="3" fillId="33" borderId="0" xfId="55" applyFont="1" applyFill="1" applyBorder="1" applyAlignment="1">
      <alignment vertical="center" wrapText="1"/>
    </xf>
    <xf numFmtId="0" fontId="3" fillId="33" borderId="0" xfId="0" applyFont="1" applyFill="1" applyBorder="1" applyAlignment="1">
      <alignment horizontal="center"/>
    </xf>
    <xf numFmtId="0" fontId="14" fillId="33" borderId="0" xfId="0" applyFont="1" applyFill="1" applyBorder="1" applyAlignment="1">
      <alignment/>
    </xf>
    <xf numFmtId="0" fontId="10" fillId="33" borderId="0" xfId="0" applyFont="1" applyFill="1" applyAlignment="1">
      <alignment/>
    </xf>
    <xf numFmtId="0" fontId="0" fillId="33" borderId="13" xfId="0" applyFill="1" applyBorder="1" applyAlignment="1">
      <alignment horizontal="center"/>
    </xf>
    <xf numFmtId="0" fontId="3" fillId="33" borderId="14" xfId="0" applyFont="1"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3" fillId="33" borderId="17" xfId="0" applyFont="1" applyFill="1" applyBorder="1" applyAlignment="1">
      <alignment horizontal="center"/>
    </xf>
    <xf numFmtId="0" fontId="51" fillId="33" borderId="0" xfId="0" applyFont="1" applyFill="1" applyBorder="1" applyAlignment="1">
      <alignment/>
    </xf>
    <xf numFmtId="0" fontId="0" fillId="33" borderId="0" xfId="0" applyFont="1" applyFill="1" applyBorder="1" applyAlignment="1" applyProtection="1">
      <alignment/>
      <protection locked="0"/>
    </xf>
    <xf numFmtId="0" fontId="0" fillId="33" borderId="16" xfId="0" applyFont="1" applyFill="1" applyBorder="1" applyAlignment="1">
      <alignment/>
    </xf>
    <xf numFmtId="0" fontId="0" fillId="33" borderId="17" xfId="0" applyFont="1" applyFill="1" applyBorder="1" applyAlignment="1">
      <alignment/>
    </xf>
    <xf numFmtId="0" fontId="4" fillId="33" borderId="11" xfId="0" applyFont="1" applyFill="1" applyBorder="1" applyAlignment="1">
      <alignment horizontal="right"/>
    </xf>
    <xf numFmtId="0" fontId="4" fillId="33" borderId="12" xfId="0" applyFont="1" applyFill="1" applyBorder="1" applyAlignment="1">
      <alignment horizontal="right"/>
    </xf>
    <xf numFmtId="0" fontId="0" fillId="33" borderId="18" xfId="0" applyFont="1" applyFill="1" applyBorder="1" applyAlignment="1">
      <alignment/>
    </xf>
    <xf numFmtId="0" fontId="0" fillId="33" borderId="19" xfId="0" applyFont="1" applyFill="1" applyBorder="1" applyAlignment="1">
      <alignment/>
    </xf>
    <xf numFmtId="0" fontId="4" fillId="0" borderId="20" xfId="0" applyFont="1" applyBorder="1" applyAlignment="1">
      <alignment horizontal="right"/>
    </xf>
    <xf numFmtId="0" fontId="4" fillId="33" borderId="19" xfId="0" applyFont="1" applyFill="1" applyBorder="1" applyAlignment="1">
      <alignment horizontal="center"/>
    </xf>
    <xf numFmtId="0" fontId="4" fillId="0" borderId="21" xfId="0" applyFont="1" applyBorder="1" applyAlignment="1">
      <alignment horizontal="left"/>
    </xf>
    <xf numFmtId="0" fontId="8" fillId="33" borderId="22" xfId="0" applyFont="1" applyFill="1" applyBorder="1" applyAlignment="1">
      <alignment/>
    </xf>
    <xf numFmtId="0" fontId="4" fillId="33" borderId="22" xfId="0" applyFont="1" applyFill="1" applyBorder="1" applyAlignment="1">
      <alignment/>
    </xf>
    <xf numFmtId="0" fontId="4" fillId="33" borderId="23" xfId="0" applyFont="1" applyFill="1" applyBorder="1" applyAlignment="1">
      <alignment/>
    </xf>
    <xf numFmtId="0" fontId="14" fillId="33" borderId="17" xfId="0" applyFont="1" applyFill="1" applyBorder="1" applyAlignment="1">
      <alignment/>
    </xf>
    <xf numFmtId="0" fontId="14" fillId="33" borderId="19" xfId="0" applyFont="1" applyFill="1" applyBorder="1" applyAlignment="1">
      <alignment/>
    </xf>
    <xf numFmtId="0" fontId="4" fillId="33" borderId="21" xfId="0" applyFont="1" applyFill="1" applyBorder="1" applyAlignment="1">
      <alignment horizontal="left"/>
    </xf>
    <xf numFmtId="0" fontId="52" fillId="33" borderId="17" xfId="0" applyFont="1" applyFill="1" applyBorder="1" applyAlignment="1">
      <alignment vertical="top"/>
    </xf>
    <xf numFmtId="0" fontId="49" fillId="33" borderId="11" xfId="0" applyFont="1" applyFill="1" applyBorder="1" applyAlignment="1">
      <alignment horizontal="right"/>
    </xf>
    <xf numFmtId="0" fontId="4" fillId="33" borderId="20" xfId="0" applyFont="1" applyFill="1" applyBorder="1" applyAlignment="1">
      <alignment horizontal="center"/>
    </xf>
    <xf numFmtId="0" fontId="3" fillId="34" borderId="11" xfId="0" applyFont="1" applyFill="1" applyBorder="1" applyAlignment="1">
      <alignment horizontal="center"/>
    </xf>
    <xf numFmtId="2" fontId="14" fillId="34" borderId="11" xfId="0" applyNumberFormat="1" applyFont="1" applyFill="1" applyBorder="1" applyAlignment="1">
      <alignment horizontal="center"/>
    </xf>
    <xf numFmtId="2" fontId="0" fillId="35" borderId="12" xfId="0" applyNumberFormat="1" applyFill="1" applyBorder="1" applyAlignment="1">
      <alignment horizontal="center"/>
    </xf>
    <xf numFmtId="0" fontId="4" fillId="33" borderId="20" xfId="0" applyFont="1" applyFill="1" applyBorder="1" applyAlignment="1">
      <alignment horizontal="right"/>
    </xf>
    <xf numFmtId="0" fontId="0" fillId="34" borderId="22" xfId="0" applyFont="1" applyFill="1" applyBorder="1" applyAlignment="1">
      <alignment horizontal="center" vertical="center"/>
    </xf>
    <xf numFmtId="0" fontId="0" fillId="34" borderId="0" xfId="0" applyFill="1" applyBorder="1" applyAlignment="1">
      <alignment horizontal="center" vertical="center"/>
    </xf>
    <xf numFmtId="2" fontId="0" fillId="34" borderId="0" xfId="0" applyNumberFormat="1" applyFill="1" applyBorder="1" applyAlignment="1">
      <alignment horizontal="center" vertical="center"/>
    </xf>
    <xf numFmtId="2" fontId="0" fillId="36" borderId="17" xfId="0" applyNumberFormat="1" applyFill="1" applyBorder="1" applyAlignment="1">
      <alignment horizontal="center" vertical="center"/>
    </xf>
    <xf numFmtId="0" fontId="53" fillId="33" borderId="0" xfId="0" applyFont="1" applyFill="1" applyBorder="1" applyAlignment="1" applyProtection="1">
      <alignment vertical="center"/>
      <protection/>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4" fillId="33" borderId="0" xfId="0" applyFont="1" applyFill="1" applyBorder="1" applyAlignment="1" applyProtection="1">
      <alignment horizontal="right"/>
      <protection hidden="1"/>
    </xf>
    <xf numFmtId="0" fontId="0" fillId="33" borderId="0" xfId="0" applyFill="1" applyBorder="1" applyAlignment="1" applyProtection="1">
      <alignment horizontal="center"/>
      <protection hidden="1"/>
    </xf>
    <xf numFmtId="0" fontId="4" fillId="0" borderId="18" xfId="0" applyFont="1" applyBorder="1" applyAlignment="1" applyProtection="1">
      <alignment horizontal="right"/>
      <protection hidden="1"/>
    </xf>
    <xf numFmtId="0" fontId="4" fillId="0" borderId="20" xfId="0" applyFont="1" applyBorder="1" applyAlignment="1" applyProtection="1">
      <alignment horizontal="left"/>
      <protection hidden="1"/>
    </xf>
    <xf numFmtId="0" fontId="4" fillId="33" borderId="10" xfId="0" applyFont="1" applyFill="1" applyBorder="1" applyAlignment="1" applyProtection="1">
      <alignment horizontal="right"/>
      <protection hidden="1"/>
    </xf>
    <xf numFmtId="0" fontId="8" fillId="33" borderId="11" xfId="0" applyFont="1" applyFill="1" applyBorder="1" applyAlignment="1" applyProtection="1">
      <alignment/>
      <protection hidden="1"/>
    </xf>
    <xf numFmtId="0" fontId="4" fillId="33" borderId="13" xfId="0" applyFont="1" applyFill="1" applyBorder="1" applyAlignment="1" applyProtection="1">
      <alignment horizontal="right"/>
      <protection hidden="1"/>
    </xf>
    <xf numFmtId="0" fontId="8" fillId="33" borderId="15" xfId="0" applyFont="1" applyFill="1" applyBorder="1" applyAlignment="1" applyProtection="1">
      <alignment/>
      <protection hidden="1"/>
    </xf>
    <xf numFmtId="0" fontId="4" fillId="33" borderId="11" xfId="0" applyFont="1" applyFill="1" applyBorder="1" applyAlignment="1" applyProtection="1">
      <alignment/>
      <protection hidden="1"/>
    </xf>
    <xf numFmtId="0" fontId="4" fillId="33" borderId="16" xfId="0" applyFont="1" applyFill="1" applyBorder="1" applyAlignment="1" applyProtection="1">
      <alignment horizontal="right"/>
      <protection hidden="1"/>
    </xf>
    <xf numFmtId="0" fontId="4" fillId="33" borderId="12" xfId="0" applyFont="1" applyFill="1" applyBorder="1" applyAlignment="1" applyProtection="1">
      <alignment/>
      <protection hidden="1"/>
    </xf>
    <xf numFmtId="2" fontId="0" fillId="7" borderId="21" xfId="0" applyNumberFormat="1" applyFill="1" applyBorder="1" applyAlignment="1">
      <alignment horizontal="center"/>
    </xf>
    <xf numFmtId="2" fontId="0" fillId="35" borderId="21" xfId="0" applyNumberFormat="1" applyFill="1" applyBorder="1" applyAlignment="1">
      <alignment horizontal="center"/>
    </xf>
    <xf numFmtId="0" fontId="3" fillId="3" borderId="21" xfId="0" applyFont="1" applyFill="1" applyBorder="1" applyAlignment="1">
      <alignment horizontal="center"/>
    </xf>
    <xf numFmtId="0" fontId="3" fillId="5" borderId="21" xfId="0" applyFont="1" applyFill="1" applyBorder="1" applyAlignment="1">
      <alignment horizontal="center"/>
    </xf>
    <xf numFmtId="0" fontId="3" fillId="6" borderId="21" xfId="0" applyFont="1" applyFill="1" applyBorder="1" applyAlignment="1">
      <alignment horizontal="center"/>
    </xf>
    <xf numFmtId="2" fontId="0" fillId="3" borderId="21" xfId="0" applyNumberFormat="1" applyFill="1" applyBorder="1" applyAlignment="1">
      <alignment horizontal="center"/>
    </xf>
    <xf numFmtId="2" fontId="0" fillId="5" borderId="21" xfId="0" applyNumberFormat="1" applyFill="1" applyBorder="1" applyAlignment="1">
      <alignment horizontal="center"/>
    </xf>
    <xf numFmtId="2" fontId="0" fillId="6" borderId="21" xfId="0" applyNumberFormat="1" applyFill="1" applyBorder="1" applyAlignment="1">
      <alignment horizontal="center"/>
    </xf>
    <xf numFmtId="0" fontId="0" fillId="7" borderId="21" xfId="0" applyFill="1" applyBorder="1" applyAlignment="1">
      <alignment horizontal="center"/>
    </xf>
    <xf numFmtId="0" fontId="4" fillId="0" borderId="21" xfId="0" applyFont="1" applyBorder="1" applyAlignment="1" applyProtection="1">
      <alignment horizontal="right"/>
      <protection hidden="1"/>
    </xf>
    <xf numFmtId="0" fontId="4" fillId="3" borderId="21" xfId="0" applyFont="1" applyFill="1" applyBorder="1" applyAlignment="1" applyProtection="1">
      <alignment horizontal="center"/>
      <protection hidden="1"/>
    </xf>
    <xf numFmtId="0" fontId="4" fillId="5" borderId="21" xfId="0" applyFont="1" applyFill="1" applyBorder="1" applyAlignment="1" applyProtection="1">
      <alignment horizontal="center"/>
      <protection hidden="1"/>
    </xf>
    <xf numFmtId="0" fontId="4" fillId="6" borderId="21" xfId="0" applyFont="1" applyFill="1" applyBorder="1" applyAlignment="1" applyProtection="1">
      <alignment horizontal="center"/>
      <protection hidden="1"/>
    </xf>
    <xf numFmtId="0" fontId="4" fillId="7" borderId="21" xfId="0" applyFont="1" applyFill="1" applyBorder="1" applyAlignment="1" applyProtection="1">
      <alignment horizontal="center"/>
      <protection hidden="1"/>
    </xf>
    <xf numFmtId="0" fontId="0" fillId="7" borderId="21" xfId="0" applyFill="1" applyBorder="1" applyAlignment="1" applyProtection="1">
      <alignment horizontal="center"/>
      <protection locked="0"/>
    </xf>
    <xf numFmtId="0" fontId="0" fillId="7" borderId="23" xfId="0" applyFill="1" applyBorder="1" applyAlignment="1" applyProtection="1">
      <alignment horizontal="center"/>
      <protection locked="0"/>
    </xf>
    <xf numFmtId="0" fontId="3" fillId="32" borderId="13" xfId="55" applyFont="1" applyBorder="1" applyAlignment="1">
      <alignment horizontal="left" vertical="center" wrapText="1"/>
    </xf>
    <xf numFmtId="0" fontId="3" fillId="32" borderId="14" xfId="55" applyFont="1" applyBorder="1" applyAlignment="1">
      <alignment horizontal="left" vertical="center" wrapText="1"/>
    </xf>
    <xf numFmtId="0" fontId="3" fillId="32" borderId="15" xfId="55" applyFont="1" applyBorder="1" applyAlignment="1">
      <alignment horizontal="left" vertical="center" wrapText="1"/>
    </xf>
    <xf numFmtId="0" fontId="3" fillId="32" borderId="10" xfId="55" applyFont="1" applyBorder="1" applyAlignment="1">
      <alignment horizontal="left" vertical="center" wrapText="1"/>
    </xf>
    <xf numFmtId="0" fontId="3" fillId="32" borderId="0" xfId="55" applyFont="1" applyBorder="1" applyAlignment="1">
      <alignment horizontal="left" vertical="center" wrapText="1"/>
    </xf>
    <xf numFmtId="0" fontId="3" fillId="32" borderId="11" xfId="55" applyFont="1" applyBorder="1" applyAlignment="1">
      <alignment horizontal="left" vertical="center" wrapText="1"/>
    </xf>
    <xf numFmtId="0" fontId="3" fillId="32" borderId="16" xfId="55" applyFont="1" applyBorder="1" applyAlignment="1">
      <alignment horizontal="left" vertical="center" wrapText="1"/>
    </xf>
    <xf numFmtId="0" fontId="3" fillId="32" borderId="17" xfId="55" applyFont="1" applyBorder="1" applyAlignment="1">
      <alignment horizontal="left" vertical="center" wrapText="1"/>
    </xf>
    <xf numFmtId="0" fontId="3" fillId="32" borderId="12" xfId="55" applyFont="1" applyBorder="1" applyAlignment="1">
      <alignment horizontal="left" vertical="center" wrapText="1"/>
    </xf>
    <xf numFmtId="0" fontId="54" fillId="37" borderId="18" xfId="0" applyFont="1" applyFill="1" applyBorder="1" applyAlignment="1">
      <alignment horizontal="center" vertical="center"/>
    </xf>
    <xf numFmtId="0" fontId="54" fillId="37" borderId="19" xfId="0" applyFont="1" applyFill="1" applyBorder="1" applyAlignment="1">
      <alignment horizontal="center" vertical="center"/>
    </xf>
    <xf numFmtId="0" fontId="54" fillId="37" borderId="20" xfId="0" applyFont="1" applyFill="1" applyBorder="1" applyAlignment="1">
      <alignment horizontal="center" vertical="center"/>
    </xf>
    <xf numFmtId="0" fontId="49" fillId="32" borderId="16" xfId="0" applyFont="1" applyFill="1" applyBorder="1" applyAlignment="1">
      <alignment horizontal="center"/>
    </xf>
    <xf numFmtId="0" fontId="49" fillId="32" borderId="12" xfId="0" applyFont="1" applyFill="1" applyBorder="1" applyAlignment="1">
      <alignment horizontal="center"/>
    </xf>
    <xf numFmtId="0" fontId="49" fillId="32" borderId="13" xfId="0" applyFont="1" applyFill="1" applyBorder="1" applyAlignment="1">
      <alignment horizontal="center"/>
    </xf>
    <xf numFmtId="0" fontId="49" fillId="32" borderId="15" xfId="0" applyFont="1" applyFill="1" applyBorder="1" applyAlignment="1">
      <alignment horizontal="center"/>
    </xf>
    <xf numFmtId="0" fontId="0" fillId="33" borderId="16" xfId="0" applyFont="1" applyFill="1" applyBorder="1" applyAlignment="1">
      <alignment horizontal="right" vertical="center"/>
    </xf>
    <xf numFmtId="0" fontId="0" fillId="33" borderId="17" xfId="0" applyFont="1" applyFill="1" applyBorder="1" applyAlignment="1">
      <alignment horizontal="right" vertical="center"/>
    </xf>
    <xf numFmtId="0" fontId="0" fillId="33" borderId="12" xfId="0" applyFont="1" applyFill="1" applyBorder="1" applyAlignment="1">
      <alignment horizontal="right" vertical="center"/>
    </xf>
    <xf numFmtId="2" fontId="55" fillId="36" borderId="18" xfId="55" applyNumberFormat="1" applyFont="1" applyFill="1" applyBorder="1" applyAlignment="1">
      <alignment horizontal="center" vertical="center"/>
    </xf>
    <xf numFmtId="2" fontId="55" fillId="36" borderId="20" xfId="55" applyNumberFormat="1" applyFont="1" applyFill="1" applyBorder="1" applyAlignment="1">
      <alignment horizontal="center" vertical="center"/>
    </xf>
    <xf numFmtId="0" fontId="14" fillId="33" borderId="13" xfId="0" applyFont="1" applyFill="1" applyBorder="1" applyAlignment="1">
      <alignment horizontal="right" vertical="center"/>
    </xf>
    <xf numFmtId="0" fontId="14" fillId="33" borderId="14" xfId="0" applyFont="1" applyFill="1" applyBorder="1" applyAlignment="1">
      <alignment horizontal="right" vertical="center"/>
    </xf>
    <xf numFmtId="0" fontId="14" fillId="33" borderId="15" xfId="0" applyFont="1" applyFill="1" applyBorder="1" applyAlignment="1">
      <alignment horizontal="right" vertical="center"/>
    </xf>
    <xf numFmtId="0" fontId="14" fillId="33" borderId="16" xfId="0" applyFont="1" applyFill="1" applyBorder="1" applyAlignment="1">
      <alignment horizontal="right" vertical="center"/>
    </xf>
    <xf numFmtId="0" fontId="14" fillId="33" borderId="17" xfId="0" applyFont="1" applyFill="1" applyBorder="1" applyAlignment="1">
      <alignment horizontal="right" vertical="center"/>
    </xf>
    <xf numFmtId="0" fontId="14" fillId="33" borderId="12" xfId="0" applyFont="1" applyFill="1" applyBorder="1" applyAlignment="1">
      <alignment horizontal="right" vertical="center"/>
    </xf>
    <xf numFmtId="0" fontId="53" fillId="7" borderId="19" xfId="0" applyFont="1" applyFill="1" applyBorder="1" applyAlignment="1" applyProtection="1">
      <alignment horizontal="center" vertical="center"/>
      <protection locked="0"/>
    </xf>
    <xf numFmtId="0" fontId="53" fillId="7" borderId="20" xfId="0" applyFont="1" applyFill="1" applyBorder="1" applyAlignment="1" applyProtection="1">
      <alignment horizontal="center" vertical="center"/>
      <protection locked="0"/>
    </xf>
    <xf numFmtId="0" fontId="54" fillId="37" borderId="13" xfId="0" applyFont="1" applyFill="1" applyBorder="1" applyAlignment="1">
      <alignment horizontal="center" vertical="center"/>
    </xf>
    <xf numFmtId="0" fontId="54" fillId="37" borderId="14" xfId="0" applyFont="1" applyFill="1" applyBorder="1" applyAlignment="1">
      <alignment horizontal="center" vertical="center"/>
    </xf>
    <xf numFmtId="0" fontId="54" fillId="37" borderId="15"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12" xfId="0" applyFont="1" applyFill="1" applyBorder="1" applyAlignment="1">
      <alignment horizontal="center" vertical="center"/>
    </xf>
    <xf numFmtId="0" fontId="0" fillId="7" borderId="18" xfId="0" applyFont="1" applyFill="1" applyBorder="1" applyAlignment="1" applyProtection="1">
      <alignment horizontal="center" vertical="center"/>
      <protection locked="0"/>
    </xf>
    <xf numFmtId="0" fontId="0" fillId="7" borderId="20" xfId="0" applyFont="1" applyFill="1" applyBorder="1" applyAlignment="1" applyProtection="1">
      <alignment horizontal="center" vertical="center"/>
      <protection locked="0"/>
    </xf>
    <xf numFmtId="0" fontId="0" fillId="33" borderId="0" xfId="0" applyFill="1" applyBorder="1" applyAlignment="1" applyProtection="1">
      <alignment horizontal="center"/>
      <protection hidden="1"/>
    </xf>
    <xf numFmtId="0" fontId="3" fillId="32" borderId="13" xfId="55" applyFont="1" applyBorder="1" applyAlignment="1" applyProtection="1">
      <alignment horizontal="left" vertical="center" wrapText="1"/>
      <protection hidden="1"/>
    </xf>
    <xf numFmtId="0" fontId="3" fillId="32" borderId="14" xfId="55" applyFont="1" applyBorder="1" applyAlignment="1" applyProtection="1">
      <alignment horizontal="left" vertical="center" wrapText="1"/>
      <protection hidden="1"/>
    </xf>
    <xf numFmtId="0" fontId="3" fillId="32" borderId="15" xfId="55" applyFont="1" applyBorder="1" applyAlignment="1" applyProtection="1">
      <alignment horizontal="left" vertical="center" wrapText="1"/>
      <protection hidden="1"/>
    </xf>
    <xf numFmtId="0" fontId="3" fillId="32" borderId="10" xfId="55" applyFont="1" applyBorder="1" applyAlignment="1" applyProtection="1">
      <alignment horizontal="left" vertical="center" wrapText="1"/>
      <protection hidden="1"/>
    </xf>
    <xf numFmtId="0" fontId="3" fillId="32" borderId="0" xfId="55" applyFont="1" applyBorder="1" applyAlignment="1" applyProtection="1">
      <alignment horizontal="left" vertical="center" wrapText="1"/>
      <protection hidden="1"/>
    </xf>
    <xf numFmtId="0" fontId="3" fillId="32" borderId="11" xfId="55" applyFont="1" applyBorder="1" applyAlignment="1" applyProtection="1">
      <alignment horizontal="left" vertical="center" wrapText="1"/>
      <protection hidden="1"/>
    </xf>
    <xf numFmtId="0" fontId="3" fillId="32" borderId="16" xfId="55" applyFont="1" applyBorder="1" applyAlignment="1" applyProtection="1">
      <alignment horizontal="left" vertical="center" wrapText="1"/>
      <protection hidden="1"/>
    </xf>
    <xf numFmtId="0" fontId="3" fillId="32" borderId="17" xfId="55" applyFont="1" applyBorder="1" applyAlignment="1" applyProtection="1">
      <alignment horizontal="left" vertical="center" wrapText="1"/>
      <protection hidden="1"/>
    </xf>
    <xf numFmtId="0" fontId="3" fillId="32" borderId="12" xfId="55" applyFont="1" applyBorder="1" applyAlignment="1" applyProtection="1">
      <alignment horizontal="left" vertical="center" wrapText="1"/>
      <protection hidden="1"/>
    </xf>
    <xf numFmtId="0" fontId="3" fillId="33" borderId="0" xfId="55"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rgb="FFFF0000"/>
      </font>
    </dxf>
    <dxf>
      <font>
        <color theme="0"/>
      </font>
      <fill>
        <patternFill>
          <bgColor theme="0"/>
        </patternFill>
      </fill>
      <border>
        <left/>
        <right/>
        <top/>
        <bottom/>
      </border>
    </dxf>
    <dxf>
      <font>
        <strike val="0"/>
        <color theme="0"/>
      </font>
      <fill>
        <patternFill>
          <bgColor theme="0"/>
        </patternFill>
      </fill>
      <border>
        <left/>
        <right/>
        <top/>
        <bottom/>
      </border>
    </dxf>
    <dxf>
      <font>
        <strike val="0"/>
        <color theme="0"/>
      </font>
      <fill>
        <patternFill>
          <bgColor theme="0"/>
        </patternFill>
      </fill>
      <border>
        <left>
          <color rgb="FF000000"/>
        </left>
        <right>
          <color rgb="FF000000"/>
        </right>
        <top>
          <color rgb="FF000000"/>
        </top>
        <bottom>
          <color rgb="FF000000"/>
        </bottom>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2</xdr:col>
      <xdr:colOff>552450</xdr:colOff>
      <xdr:row>3</xdr:row>
      <xdr:rowOff>152400</xdr:rowOff>
    </xdr:to>
    <xdr:pic>
      <xdr:nvPicPr>
        <xdr:cNvPr id="1" name="Picture 2"/>
        <xdr:cNvPicPr preferRelativeResize="1">
          <a:picLocks noChangeAspect="1"/>
        </xdr:cNvPicPr>
      </xdr:nvPicPr>
      <xdr:blipFill>
        <a:blip r:embed="rId1"/>
        <a:stretch>
          <a:fillRect/>
        </a:stretch>
      </xdr:blipFill>
      <xdr:spPr>
        <a:xfrm>
          <a:off x="114300" y="85725"/>
          <a:ext cx="1676400" cy="638175"/>
        </a:xfrm>
        <a:prstGeom prst="rect">
          <a:avLst/>
        </a:prstGeom>
        <a:noFill/>
        <a:ln w="9525" cmpd="sng">
          <a:noFill/>
        </a:ln>
      </xdr:spPr>
    </xdr:pic>
    <xdr:clientData/>
  </xdr:twoCellAnchor>
  <xdr:twoCellAnchor editAs="oneCell">
    <xdr:from>
      <xdr:col>0</xdr:col>
      <xdr:colOff>9525</xdr:colOff>
      <xdr:row>14</xdr:row>
      <xdr:rowOff>9525</xdr:rowOff>
    </xdr:from>
    <xdr:to>
      <xdr:col>7</xdr:col>
      <xdr:colOff>171450</xdr:colOff>
      <xdr:row>33</xdr:row>
      <xdr:rowOff>76200</xdr:rowOff>
    </xdr:to>
    <xdr:pic>
      <xdr:nvPicPr>
        <xdr:cNvPr id="2" name="Picture 165"/>
        <xdr:cNvPicPr preferRelativeResize="1">
          <a:picLocks noChangeAspect="1"/>
        </xdr:cNvPicPr>
      </xdr:nvPicPr>
      <xdr:blipFill>
        <a:blip r:embed="rId2"/>
        <a:srcRect l="9552" t="16122" r="19772" b="6561"/>
        <a:stretch>
          <a:fillRect/>
        </a:stretch>
      </xdr:blipFill>
      <xdr:spPr>
        <a:xfrm>
          <a:off x="9525" y="2638425"/>
          <a:ext cx="4495800" cy="3686175"/>
        </a:xfrm>
        <a:prstGeom prst="rect">
          <a:avLst/>
        </a:prstGeom>
        <a:noFill/>
        <a:ln w="9525" cmpd="sng">
          <a:solidFill>
            <a:srgbClr val="000000"/>
          </a:solidFill>
          <a:headEnd type="none"/>
          <a:tailEnd type="none"/>
        </a:ln>
      </xdr:spPr>
    </xdr:pic>
    <xdr:clientData/>
  </xdr:twoCellAnchor>
  <xdr:twoCellAnchor>
    <xdr:from>
      <xdr:col>7</xdr:col>
      <xdr:colOff>447675</xdr:colOff>
      <xdr:row>14</xdr:row>
      <xdr:rowOff>9525</xdr:rowOff>
    </xdr:from>
    <xdr:to>
      <xdr:col>15</xdr:col>
      <xdr:colOff>0</xdr:colOff>
      <xdr:row>33</xdr:row>
      <xdr:rowOff>85725</xdr:rowOff>
    </xdr:to>
    <xdr:grpSp>
      <xdr:nvGrpSpPr>
        <xdr:cNvPr id="3" name="Group 2"/>
        <xdr:cNvGrpSpPr>
          <a:grpSpLocks/>
        </xdr:cNvGrpSpPr>
      </xdr:nvGrpSpPr>
      <xdr:grpSpPr>
        <a:xfrm>
          <a:off x="4781550" y="2638425"/>
          <a:ext cx="4505325" cy="3695700"/>
          <a:chOff x="4781550" y="3200400"/>
          <a:chExt cx="4505325" cy="3695700"/>
        </a:xfrm>
        <a:solidFill>
          <a:srgbClr val="FFFFFF"/>
        </a:solidFill>
      </xdr:grpSpPr>
      <xdr:pic>
        <xdr:nvPicPr>
          <xdr:cNvPr id="4" name="Picture 164"/>
          <xdr:cNvPicPr preferRelativeResize="1">
            <a:picLocks noChangeAspect="1"/>
          </xdr:cNvPicPr>
        </xdr:nvPicPr>
        <xdr:blipFill>
          <a:blip r:embed="rId3"/>
          <a:srcRect l="1379" t="16897" r="27799" b="5645"/>
          <a:stretch>
            <a:fillRect/>
          </a:stretch>
        </xdr:blipFill>
        <xdr:spPr>
          <a:xfrm>
            <a:off x="4781550" y="3200400"/>
            <a:ext cx="4505325" cy="3695700"/>
          </a:xfrm>
          <a:prstGeom prst="rect">
            <a:avLst/>
          </a:prstGeom>
          <a:noFill/>
          <a:ln w="9525" cmpd="sng">
            <a:solidFill>
              <a:srgbClr val="000000"/>
            </a:solidFill>
            <a:headEnd type="none"/>
            <a:tailEnd type="none"/>
          </a:ln>
        </xdr:spPr>
      </xdr:pic>
      <xdr:pic>
        <xdr:nvPicPr>
          <xdr:cNvPr id="5" name="Picture 165"/>
          <xdr:cNvPicPr preferRelativeResize="1">
            <a:picLocks noChangeAspect="1"/>
          </xdr:cNvPicPr>
        </xdr:nvPicPr>
        <xdr:blipFill>
          <a:blip r:embed="rId2"/>
          <a:srcRect l="26322" t="32304" r="72030" b="62899"/>
          <a:stretch>
            <a:fillRect/>
          </a:stretch>
        </xdr:blipFill>
        <xdr:spPr>
          <a:xfrm>
            <a:off x="5867333" y="4057802"/>
            <a:ext cx="104749" cy="22820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952500</xdr:colOff>
      <xdr:row>0</xdr:row>
      <xdr:rowOff>104775</xdr:rowOff>
    </xdr:from>
    <xdr:to>
      <xdr:col>3</xdr:col>
      <xdr:colOff>409575</xdr:colOff>
      <xdr:row>1</xdr:row>
      <xdr:rowOff>438150</xdr:rowOff>
    </xdr:to>
    <xdr:pic>
      <xdr:nvPicPr>
        <xdr:cNvPr id="1" name="Picture 2"/>
        <xdr:cNvPicPr preferRelativeResize="1">
          <a:picLocks noChangeAspect="1"/>
        </xdr:cNvPicPr>
      </xdr:nvPicPr>
      <xdr:blipFill>
        <a:blip r:embed="rId1"/>
        <a:stretch>
          <a:fillRect/>
        </a:stretch>
      </xdr:blipFill>
      <xdr:spPr>
        <a:xfrm>
          <a:off x="952500" y="104775"/>
          <a:ext cx="2771775" cy="1047750"/>
        </a:xfrm>
        <a:prstGeom prst="rect">
          <a:avLst/>
        </a:prstGeom>
        <a:noFill/>
        <a:ln w="9525" cmpd="sng">
          <a:noFill/>
        </a:ln>
      </xdr:spPr>
    </xdr:pic>
    <xdr:clientData/>
  </xdr:twoCellAnchor>
  <xdr:twoCellAnchor editAs="oneCell">
    <xdr:from>
      <xdr:col>5</xdr:col>
      <xdr:colOff>447675</xdr:colOff>
      <xdr:row>5</xdr:row>
      <xdr:rowOff>114300</xdr:rowOff>
    </xdr:from>
    <xdr:to>
      <xdr:col>10</xdr:col>
      <xdr:colOff>381000</xdr:colOff>
      <xdr:row>25</xdr:row>
      <xdr:rowOff>0</xdr:rowOff>
    </xdr:to>
    <xdr:pic>
      <xdr:nvPicPr>
        <xdr:cNvPr id="2" name="Picture 164"/>
        <xdr:cNvPicPr preferRelativeResize="1">
          <a:picLocks noChangeAspect="1"/>
        </xdr:cNvPicPr>
      </xdr:nvPicPr>
      <xdr:blipFill>
        <a:blip r:embed="rId2"/>
        <a:srcRect l="1379" t="16897" r="27799" b="5645"/>
        <a:stretch>
          <a:fillRect/>
        </a:stretch>
      </xdr:blipFill>
      <xdr:spPr>
        <a:xfrm>
          <a:off x="4981575" y="1952625"/>
          <a:ext cx="4505325" cy="3695700"/>
        </a:xfrm>
        <a:prstGeom prst="rect">
          <a:avLst/>
        </a:prstGeom>
        <a:noFill/>
        <a:ln w="9525" cmpd="sng">
          <a:solidFill>
            <a:srgbClr val="000000"/>
          </a:solidFill>
          <a:headEnd type="none"/>
          <a:tailEnd type="none"/>
        </a:ln>
      </xdr:spPr>
    </xdr:pic>
    <xdr:clientData/>
  </xdr:twoCellAnchor>
  <xdr:twoCellAnchor editAs="oneCell">
    <xdr:from>
      <xdr:col>0</xdr:col>
      <xdr:colOff>114300</xdr:colOff>
      <xdr:row>5</xdr:row>
      <xdr:rowOff>123825</xdr:rowOff>
    </xdr:from>
    <xdr:to>
      <xdr:col>5</xdr:col>
      <xdr:colOff>76200</xdr:colOff>
      <xdr:row>25</xdr:row>
      <xdr:rowOff>0</xdr:rowOff>
    </xdr:to>
    <xdr:pic>
      <xdr:nvPicPr>
        <xdr:cNvPr id="3" name="Picture 165"/>
        <xdr:cNvPicPr preferRelativeResize="1">
          <a:picLocks noChangeAspect="1"/>
        </xdr:cNvPicPr>
      </xdr:nvPicPr>
      <xdr:blipFill>
        <a:blip r:embed="rId3"/>
        <a:srcRect l="9552" t="16122" r="19772" b="6561"/>
        <a:stretch>
          <a:fillRect/>
        </a:stretch>
      </xdr:blipFill>
      <xdr:spPr>
        <a:xfrm>
          <a:off x="114300" y="1962150"/>
          <a:ext cx="4495800" cy="36861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A48"/>
  <sheetViews>
    <sheetView tabSelected="1" zoomScalePageLayoutView="0" workbookViewId="0" topLeftCell="A1">
      <selection activeCell="F11" sqref="F11:G11"/>
    </sheetView>
  </sheetViews>
  <sheetFormatPr defaultColWidth="9.140625" defaultRowHeight="15"/>
  <cols>
    <col min="1" max="15" width="9.28125" style="5" customWidth="1"/>
    <col min="16" max="21" width="9.140625" style="5" customWidth="1"/>
    <col min="22" max="22" width="9.140625" style="5" hidden="1" customWidth="1"/>
    <col min="23" max="23" width="9.140625" style="5" customWidth="1"/>
    <col min="24" max="27" width="9.140625" style="5" hidden="1" customWidth="1"/>
    <col min="28" max="16384" width="9.140625" style="5" customWidth="1"/>
  </cols>
  <sheetData>
    <row r="1" spans="5:16" ht="15" customHeight="1">
      <c r="E1" s="79" t="s">
        <v>49</v>
      </c>
      <c r="F1" s="80"/>
      <c r="G1" s="80"/>
      <c r="H1" s="80"/>
      <c r="I1" s="80"/>
      <c r="J1" s="80"/>
      <c r="K1" s="80"/>
      <c r="L1" s="80"/>
      <c r="M1" s="80"/>
      <c r="N1" s="80"/>
      <c r="O1" s="81"/>
      <c r="P1" s="11"/>
    </row>
    <row r="2" spans="5:16" ht="15">
      <c r="E2" s="82"/>
      <c r="F2" s="83"/>
      <c r="G2" s="83"/>
      <c r="H2" s="83"/>
      <c r="I2" s="83"/>
      <c r="J2" s="83"/>
      <c r="K2" s="83"/>
      <c r="L2" s="83"/>
      <c r="M2" s="83"/>
      <c r="N2" s="83"/>
      <c r="O2" s="84"/>
      <c r="P2" s="11"/>
    </row>
    <row r="3" spans="5:16" ht="15">
      <c r="E3" s="82"/>
      <c r="F3" s="83"/>
      <c r="G3" s="83"/>
      <c r="H3" s="83"/>
      <c r="I3" s="83"/>
      <c r="J3" s="83"/>
      <c r="K3" s="83"/>
      <c r="L3" s="83"/>
      <c r="M3" s="83"/>
      <c r="N3" s="83"/>
      <c r="O3" s="84"/>
      <c r="P3" s="11"/>
    </row>
    <row r="4" spans="5:16" ht="19.5" customHeight="1">
      <c r="E4" s="85"/>
      <c r="F4" s="86"/>
      <c r="G4" s="86"/>
      <c r="H4" s="86"/>
      <c r="I4" s="86"/>
      <c r="J4" s="86"/>
      <c r="K4" s="86"/>
      <c r="L4" s="86"/>
      <c r="M4" s="86"/>
      <c r="N4" s="86"/>
      <c r="O4" s="87"/>
      <c r="P4" s="11"/>
    </row>
    <row r="5" spans="8:16" ht="6.75" customHeight="1">
      <c r="H5" s="129"/>
      <c r="I5" s="129"/>
      <c r="J5" s="129"/>
      <c r="K5" s="129"/>
      <c r="L5" s="129"/>
      <c r="M5" s="129"/>
      <c r="N5" s="129"/>
      <c r="O5" s="129"/>
      <c r="P5" s="11"/>
    </row>
    <row r="6" spans="3:6" ht="6" customHeight="1">
      <c r="C6" s="38"/>
      <c r="D6" s="38"/>
      <c r="E6" s="38"/>
      <c r="F6" s="38"/>
    </row>
    <row r="7" spans="1:13" ht="15.75" customHeight="1">
      <c r="A7" s="108" t="s">
        <v>43</v>
      </c>
      <c r="B7" s="109"/>
      <c r="C7" s="109"/>
      <c r="D7" s="109"/>
      <c r="E7" s="109"/>
      <c r="F7" s="109"/>
      <c r="G7" s="110"/>
      <c r="I7" s="88" t="s">
        <v>44</v>
      </c>
      <c r="J7" s="89"/>
      <c r="K7" s="89"/>
      <c r="L7" s="89"/>
      <c r="M7" s="90"/>
    </row>
    <row r="8" spans="1:13" ht="15">
      <c r="A8" s="111" t="s">
        <v>39</v>
      </c>
      <c r="B8" s="112"/>
      <c r="C8" s="112"/>
      <c r="D8" s="112"/>
      <c r="E8" s="112"/>
      <c r="F8" s="112"/>
      <c r="G8" s="113"/>
      <c r="I8" s="7"/>
      <c r="J8" s="8"/>
      <c r="K8" s="9" t="s">
        <v>0</v>
      </c>
      <c r="L8" s="93" t="str">
        <f>VLOOKUP(V17,X17:AA20,2)</f>
        <v>SI-111</v>
      </c>
      <c r="M8" s="94"/>
    </row>
    <row r="9" spans="1:13" ht="15">
      <c r="A9" s="114"/>
      <c r="B9" s="115"/>
      <c r="C9" s="115"/>
      <c r="D9" s="115"/>
      <c r="E9" s="115"/>
      <c r="F9" s="115"/>
      <c r="G9" s="116"/>
      <c r="I9" s="6"/>
      <c r="K9" s="10" t="s">
        <v>1</v>
      </c>
      <c r="L9" s="91" t="str">
        <f>(VLOOKUP(V17,X17:Z20,3))&amp;"°"</f>
        <v>22°</v>
      </c>
      <c r="M9" s="92"/>
    </row>
    <row r="10" spans="1:13" ht="17.25" customHeight="1">
      <c r="A10" s="88" t="s">
        <v>45</v>
      </c>
      <c r="B10" s="89"/>
      <c r="C10" s="89"/>
      <c r="D10" s="89"/>
      <c r="E10" s="89"/>
      <c r="F10" s="89"/>
      <c r="G10" s="90"/>
      <c r="I10" s="95" t="s">
        <v>2</v>
      </c>
      <c r="J10" s="96"/>
      <c r="K10" s="97"/>
      <c r="L10" s="98">
        <f>IF(F11&lt;=(VLOOKUP(V17,X17:AA20,4)),(IF(V17=4,M45,E48)),"Warning*")</f>
        <v>122.81676226107756</v>
      </c>
      <c r="M10" s="99"/>
    </row>
    <row r="11" spans="1:19" ht="18" customHeight="1">
      <c r="A11" s="100" t="s">
        <v>47</v>
      </c>
      <c r="B11" s="101"/>
      <c r="C11" s="101"/>
      <c r="D11" s="101"/>
      <c r="E11" s="102"/>
      <c r="F11" s="117">
        <v>65</v>
      </c>
      <c r="G11" s="118"/>
      <c r="R11" s="49"/>
      <c r="S11" s="49"/>
    </row>
    <row r="12" spans="1:10" ht="18" customHeight="1">
      <c r="A12" s="103" t="s">
        <v>38</v>
      </c>
      <c r="B12" s="104"/>
      <c r="C12" s="104"/>
      <c r="D12" s="104"/>
      <c r="E12" s="105"/>
      <c r="F12" s="106">
        <v>1.5</v>
      </c>
      <c r="G12" s="107"/>
      <c r="J12" s="21">
        <f>IF(L10="Warning*","*Result may be unrealistic. Input a smaller angle. See note above↑","")</f>
      </c>
    </row>
    <row r="14" spans="1:15" ht="15.75" customHeight="1">
      <c r="A14" s="88" t="s">
        <v>46</v>
      </c>
      <c r="B14" s="89"/>
      <c r="C14" s="89"/>
      <c r="D14" s="89"/>
      <c r="E14" s="89"/>
      <c r="F14" s="89"/>
      <c r="G14" s="89"/>
      <c r="H14" s="89"/>
      <c r="I14" s="89"/>
      <c r="J14" s="89"/>
      <c r="K14" s="89"/>
      <c r="L14" s="89"/>
      <c r="M14" s="89"/>
      <c r="N14" s="89"/>
      <c r="O14" s="90"/>
    </row>
    <row r="15" ht="15"/>
    <row r="16" spans="24:27" ht="15">
      <c r="X16" s="14" t="s">
        <v>32</v>
      </c>
      <c r="Y16" s="14" t="s">
        <v>33</v>
      </c>
      <c r="Z16" s="14" t="s">
        <v>34</v>
      </c>
      <c r="AA16" s="14" t="s">
        <v>48</v>
      </c>
    </row>
    <row r="17" spans="22:27" ht="15">
      <c r="V17" s="22">
        <v>1</v>
      </c>
      <c r="X17" s="15">
        <v>1</v>
      </c>
      <c r="Y17" s="16" t="s">
        <v>5</v>
      </c>
      <c r="Z17" s="17">
        <v>22</v>
      </c>
      <c r="AA17" s="18">
        <v>65</v>
      </c>
    </row>
    <row r="18" spans="24:27" ht="15">
      <c r="X18" s="2">
        <v>2</v>
      </c>
      <c r="Y18" s="12" t="s">
        <v>35</v>
      </c>
      <c r="Z18" s="1">
        <v>18</v>
      </c>
      <c r="AA18" s="3">
        <v>69</v>
      </c>
    </row>
    <row r="19" spans="24:27" ht="15">
      <c r="X19" s="2">
        <v>3</v>
      </c>
      <c r="Y19" s="12" t="s">
        <v>3</v>
      </c>
      <c r="Z19" s="1">
        <v>14</v>
      </c>
      <c r="AA19" s="3">
        <v>73</v>
      </c>
    </row>
    <row r="20" spans="24:27" ht="15">
      <c r="X20" s="19">
        <v>4</v>
      </c>
      <c r="Y20" s="20" t="s">
        <v>18</v>
      </c>
      <c r="Z20" s="20" t="s">
        <v>36</v>
      </c>
      <c r="AA20" s="4">
        <v>74</v>
      </c>
    </row>
    <row r="21" ht="15"/>
    <row r="22" ht="15"/>
    <row r="23" ht="15"/>
    <row r="24" ht="15"/>
    <row r="25" ht="15"/>
    <row r="26" ht="15"/>
    <row r="27" ht="15"/>
    <row r="28" ht="15"/>
    <row r="29" ht="15"/>
    <row r="30" ht="15"/>
    <row r="31" ht="15"/>
    <row r="32" ht="15"/>
    <row r="33" ht="15"/>
    <row r="34" ht="15"/>
    <row r="35" spans="1:14" ht="15">
      <c r="A35" s="27"/>
      <c r="B35" s="36"/>
      <c r="C35" s="36"/>
      <c r="D35" s="44" t="s">
        <v>4</v>
      </c>
      <c r="E35" s="40" t="str">
        <f>IF(V17=4,"",VLOOKUP(V17,X17:Y20,2))</f>
        <v>SI-111</v>
      </c>
      <c r="F35" s="37" t="s">
        <v>19</v>
      </c>
      <c r="I35" s="27"/>
      <c r="J35" s="28"/>
      <c r="K35" s="28"/>
      <c r="L35" s="29" t="s">
        <v>4</v>
      </c>
      <c r="M35" s="30">
        <f>IF(V17=4,"SI-1H1","")</f>
      </c>
      <c r="N35" s="31" t="s">
        <v>19</v>
      </c>
    </row>
    <row r="36" spans="1:14" ht="15">
      <c r="A36" s="6"/>
      <c r="B36" s="13"/>
      <c r="C36" s="13"/>
      <c r="D36" s="25" t="s">
        <v>6</v>
      </c>
      <c r="E36" s="41">
        <f>IF(V17=4,"",VLOOKUP(V17,X17:Z20,3))</f>
        <v>22</v>
      </c>
      <c r="F36" s="32" t="s">
        <v>21</v>
      </c>
      <c r="I36" s="6"/>
      <c r="L36" s="25" t="s">
        <v>20</v>
      </c>
      <c r="M36" s="46">
        <f>IF(V17=4,32,"")</f>
      </c>
      <c r="N36" s="32" t="s">
        <v>21</v>
      </c>
    </row>
    <row r="37" spans="1:14" ht="15">
      <c r="A37" s="6"/>
      <c r="B37" s="13"/>
      <c r="C37" s="13"/>
      <c r="D37" s="39" t="s">
        <v>37</v>
      </c>
      <c r="E37" s="41">
        <f>F11</f>
        <v>65</v>
      </c>
      <c r="F37" s="32" t="s">
        <v>21</v>
      </c>
      <c r="I37" s="6"/>
      <c r="L37" s="25" t="s">
        <v>22</v>
      </c>
      <c r="M37" s="46">
        <f>IF(V17=4,13,"")</f>
      </c>
      <c r="N37" s="32" t="s">
        <v>21</v>
      </c>
    </row>
    <row r="38" spans="1:14" ht="15">
      <c r="A38" s="6"/>
      <c r="B38" s="13"/>
      <c r="C38" s="13"/>
      <c r="D38" s="25" t="s">
        <v>7</v>
      </c>
      <c r="E38" s="42">
        <f>IF(V17=4,"",F12*TAN((E37)*PI()/180))</f>
        <v>3.216760380764338</v>
      </c>
      <c r="F38" s="33" t="s">
        <v>24</v>
      </c>
      <c r="I38" s="6"/>
      <c r="L38" s="39" t="s">
        <v>37</v>
      </c>
      <c r="M38" s="45">
        <f>F11</f>
        <v>65</v>
      </c>
      <c r="N38" s="32" t="s">
        <v>21</v>
      </c>
    </row>
    <row r="39" spans="1:14" ht="15">
      <c r="A39" s="6"/>
      <c r="B39" s="13"/>
      <c r="C39" s="13"/>
      <c r="D39" s="25" t="s">
        <v>8</v>
      </c>
      <c r="E39" s="42">
        <f>IF(V17=4,"",F12*TAN((E37+E36)*PI()/180))</f>
        <v>28.621705031592242</v>
      </c>
      <c r="F39" s="33" t="s">
        <v>24</v>
      </c>
      <c r="I39" s="6"/>
      <c r="L39" s="25" t="s">
        <v>23</v>
      </c>
      <c r="M39" s="47">
        <f>IF(V17=4,F12*TAN(RADIANS(M38)),"")</f>
      </c>
      <c r="N39" s="33" t="s">
        <v>24</v>
      </c>
    </row>
    <row r="40" spans="1:14" ht="15">
      <c r="A40" s="6"/>
      <c r="B40" s="13"/>
      <c r="C40" s="13"/>
      <c r="D40" s="25" t="s">
        <v>9</v>
      </c>
      <c r="E40" s="42">
        <f>IF(V17=4,"",F12*TAN((E37-E36)*PI()/180))</f>
        <v>1.3987726292064924</v>
      </c>
      <c r="F40" s="33" t="s">
        <v>24</v>
      </c>
      <c r="I40" s="6"/>
      <c r="L40" s="25" t="s">
        <v>25</v>
      </c>
      <c r="M40" s="47">
        <f>IF(V17=4,F12*TAN(RADIANS(M38-M37)),"")</f>
      </c>
      <c r="N40" s="33" t="s">
        <v>24</v>
      </c>
    </row>
    <row r="41" spans="1:14" ht="15">
      <c r="A41" s="6"/>
      <c r="B41" s="13"/>
      <c r="C41" s="13"/>
      <c r="D41" s="25" t="s">
        <v>10</v>
      </c>
      <c r="E41" s="42">
        <f>IF(V17=4,"",E39-E40)</f>
        <v>27.22293240238575</v>
      </c>
      <c r="F41" s="33" t="s">
        <v>24</v>
      </c>
      <c r="I41" s="6"/>
      <c r="L41" s="25" t="s">
        <v>26</v>
      </c>
      <c r="M41" s="47">
        <f>IF(V17=4,F12*TAN(RADIANS(M38+M37)),"")</f>
      </c>
      <c r="N41" s="33" t="s">
        <v>24</v>
      </c>
    </row>
    <row r="42" spans="1:14" ht="15">
      <c r="A42" s="6"/>
      <c r="B42" s="13"/>
      <c r="C42" s="13"/>
      <c r="D42" s="25" t="s">
        <v>11</v>
      </c>
      <c r="E42" s="42">
        <f>IF(V17=4,"",E41/2)</f>
        <v>13.611466201192876</v>
      </c>
      <c r="F42" s="33" t="s">
        <v>24</v>
      </c>
      <c r="I42" s="6"/>
      <c r="L42" s="25" t="s">
        <v>27</v>
      </c>
      <c r="M42" s="47">
        <f>IF(V17=4,M41-M40,"")</f>
      </c>
      <c r="N42" s="33" t="s">
        <v>24</v>
      </c>
    </row>
    <row r="43" spans="1:14" ht="15">
      <c r="A43" s="6"/>
      <c r="B43" s="13"/>
      <c r="C43" s="13"/>
      <c r="D43" s="25" t="s">
        <v>12</v>
      </c>
      <c r="E43" s="42">
        <f>IF(V17=4,"",E39-E38)</f>
        <v>25.404944650827904</v>
      </c>
      <c r="F43" s="33" t="s">
        <v>24</v>
      </c>
      <c r="I43" s="6"/>
      <c r="L43" s="25" t="s">
        <v>28</v>
      </c>
      <c r="M43" s="47">
        <f>IF(V17=4,(-0.0002857635*M38^2-0.01268361*M38+2.525659)*M42,"")</f>
      </c>
      <c r="N43" s="33" t="s">
        <v>24</v>
      </c>
    </row>
    <row r="44" spans="1:14" ht="15">
      <c r="A44" s="6"/>
      <c r="B44" s="13"/>
      <c r="C44" s="13"/>
      <c r="D44" s="25" t="s">
        <v>13</v>
      </c>
      <c r="E44" s="42">
        <f>IF(V17=4,"",E43-E42)</f>
        <v>11.793478449635028</v>
      </c>
      <c r="F44" s="33" t="s">
        <v>24</v>
      </c>
      <c r="I44" s="6"/>
      <c r="L44" s="25" t="s">
        <v>29</v>
      </c>
      <c r="M44" s="47">
        <f>IF(V17=4,(-0.0003701015*M38^2+0.009409036*M38+2.518837)*M42,"")</f>
      </c>
      <c r="N44" s="33" t="s">
        <v>24</v>
      </c>
    </row>
    <row r="45" spans="1:14" ht="15">
      <c r="A45" s="6"/>
      <c r="B45" s="13"/>
      <c r="C45" s="13"/>
      <c r="D45" s="25" t="s">
        <v>14</v>
      </c>
      <c r="E45" s="42">
        <f>IF(V17=4,"",SQRT(E38^2+F12^2))</f>
        <v>3.549302374728748</v>
      </c>
      <c r="F45" s="33" t="s">
        <v>24</v>
      </c>
      <c r="I45" s="23"/>
      <c r="J45" s="24"/>
      <c r="K45" s="24"/>
      <c r="L45" s="26" t="s">
        <v>30</v>
      </c>
      <c r="M45" s="48">
        <f>IF(V17=4,M42*(M43+M44)/2,"")</f>
      </c>
      <c r="N45" s="34" t="s">
        <v>31</v>
      </c>
    </row>
    <row r="46" spans="1:6" ht="15">
      <c r="A46" s="6"/>
      <c r="B46" s="13"/>
      <c r="C46" s="13"/>
      <c r="D46" s="25" t="s">
        <v>15</v>
      </c>
      <c r="E46" s="42">
        <f>IF(V17=4,"",E45*TAN(E36*PI()/180))</f>
        <v>1.4340112428094154</v>
      </c>
      <c r="F46" s="33" t="s">
        <v>24</v>
      </c>
    </row>
    <row r="47" spans="1:6" ht="15">
      <c r="A47" s="6"/>
      <c r="B47" s="13"/>
      <c r="C47" s="13"/>
      <c r="D47" s="25" t="s">
        <v>16</v>
      </c>
      <c r="E47" s="42">
        <f>IF(V17=4,"",SQRT(E46^2/(1-(E44/E42)^2)))</f>
        <v>2.8721218595362776</v>
      </c>
      <c r="F47" s="33" t="s">
        <v>24</v>
      </c>
    </row>
    <row r="48" spans="1:6" ht="15">
      <c r="A48" s="23"/>
      <c r="B48" s="35"/>
      <c r="C48" s="35"/>
      <c r="D48" s="26" t="s">
        <v>17</v>
      </c>
      <c r="E48" s="43">
        <f>IF(V17=4,"",PI()*E42*E47)</f>
        <v>122.81676226107756</v>
      </c>
      <c r="F48" s="34" t="s">
        <v>31</v>
      </c>
    </row>
  </sheetData>
  <sheetProtection password="C4FC" sheet="1" objects="1" scenarios="1" selectLockedCells="1"/>
  <mergeCells count="14">
    <mergeCell ref="F12:G12"/>
    <mergeCell ref="A7:G7"/>
    <mergeCell ref="A8:G9"/>
    <mergeCell ref="F11:G11"/>
    <mergeCell ref="E1:O4"/>
    <mergeCell ref="A14:O14"/>
    <mergeCell ref="L9:M9"/>
    <mergeCell ref="L8:M8"/>
    <mergeCell ref="I10:K10"/>
    <mergeCell ref="L10:M10"/>
    <mergeCell ref="A10:G10"/>
    <mergeCell ref="I7:M7"/>
    <mergeCell ref="A11:E11"/>
    <mergeCell ref="A12:E12"/>
  </mergeCells>
  <conditionalFormatting sqref="A35:F48">
    <cfRule type="expression" priority="4" dxfId="3">
      <formula>$V$17=4</formula>
    </cfRule>
  </conditionalFormatting>
  <conditionalFormatting sqref="I35:N45">
    <cfRule type="expression" priority="3" dxfId="3">
      <formula>$V$17&lt;&gt;4</formula>
    </cfRule>
  </conditionalFormatting>
  <conditionalFormatting sqref="L10:M10">
    <cfRule type="expression" priority="2" dxfId="4">
      <formula>$J$12&lt;&gt;""</formula>
    </cfRule>
  </conditionalFormatting>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A10">
      <selection activeCell="D4" sqref="D4"/>
    </sheetView>
  </sheetViews>
  <sheetFormatPr defaultColWidth="9.140625" defaultRowHeight="15"/>
  <cols>
    <col min="1" max="1" width="31.421875" style="51" customWidth="1"/>
    <col min="2" max="6" width="9.140625" style="51" customWidth="1"/>
    <col min="7" max="7" width="32.00390625" style="51" customWidth="1"/>
    <col min="8" max="16384" width="9.140625" style="51" customWidth="1"/>
  </cols>
  <sheetData>
    <row r="1" spans="1:11" ht="56.25" customHeight="1">
      <c r="A1" s="119"/>
      <c r="B1" s="119"/>
      <c r="C1" s="119"/>
      <c r="D1" s="50"/>
      <c r="E1" s="50"/>
      <c r="F1" s="50"/>
      <c r="G1" s="120" t="s">
        <v>50</v>
      </c>
      <c r="H1" s="121"/>
      <c r="I1" s="121"/>
      <c r="J1" s="121"/>
      <c r="K1" s="122"/>
    </row>
    <row r="2" spans="1:11" ht="43.5" customHeight="1">
      <c r="A2" s="119"/>
      <c r="B2" s="119"/>
      <c r="C2" s="119"/>
      <c r="D2" s="50"/>
      <c r="E2" s="50"/>
      <c r="F2" s="50"/>
      <c r="G2" s="123"/>
      <c r="H2" s="124"/>
      <c r="I2" s="124"/>
      <c r="J2" s="124"/>
      <c r="K2" s="125"/>
    </row>
    <row r="3" spans="1:11" ht="15">
      <c r="A3" s="50"/>
      <c r="B3" s="50"/>
      <c r="C3" s="52" t="s">
        <v>41</v>
      </c>
      <c r="D3" s="77">
        <v>65</v>
      </c>
      <c r="E3" s="50"/>
      <c r="F3" s="50"/>
      <c r="G3" s="126"/>
      <c r="H3" s="127"/>
      <c r="I3" s="127"/>
      <c r="J3" s="127"/>
      <c r="K3" s="128"/>
    </row>
    <row r="4" spans="1:6" ht="15">
      <c r="A4" s="50"/>
      <c r="B4" s="50"/>
      <c r="C4" s="52" t="s">
        <v>42</v>
      </c>
      <c r="D4" s="78">
        <v>1.5</v>
      </c>
      <c r="E4" s="50"/>
      <c r="F4" s="50"/>
    </row>
    <row r="5" spans="1:6" ht="15">
      <c r="A5" s="50"/>
      <c r="B5" s="50"/>
      <c r="C5" s="52"/>
      <c r="D5" s="53"/>
      <c r="E5" s="50"/>
      <c r="F5" s="50"/>
    </row>
    <row r="6" spans="1:11" ht="15">
      <c r="A6" s="50"/>
      <c r="B6" s="50"/>
      <c r="C6" s="50"/>
      <c r="D6" s="50"/>
      <c r="E6" s="50"/>
      <c r="F6" s="50"/>
      <c r="G6" s="50"/>
      <c r="H6" s="50"/>
      <c r="I6" s="50"/>
      <c r="J6" s="50"/>
      <c r="K6" s="50"/>
    </row>
    <row r="7" spans="1:11" ht="15">
      <c r="A7" s="50"/>
      <c r="B7" s="50"/>
      <c r="C7" s="50"/>
      <c r="D7" s="50"/>
      <c r="E7" s="50"/>
      <c r="F7" s="50"/>
      <c r="G7" s="50"/>
      <c r="H7" s="50"/>
      <c r="I7" s="50"/>
      <c r="J7" s="50"/>
      <c r="K7" s="50"/>
    </row>
    <row r="8" spans="1:11" ht="15">
      <c r="A8" s="50"/>
      <c r="B8" s="50"/>
      <c r="C8" s="50"/>
      <c r="D8" s="50"/>
      <c r="E8" s="50"/>
      <c r="F8" s="50"/>
      <c r="G8" s="50"/>
      <c r="H8" s="50"/>
      <c r="I8" s="50"/>
      <c r="J8" s="50"/>
      <c r="K8" s="50"/>
    </row>
    <row r="9" spans="1:11" ht="15">
      <c r="A9" s="50"/>
      <c r="B9" s="50"/>
      <c r="C9" s="50"/>
      <c r="D9" s="50"/>
      <c r="E9" s="50"/>
      <c r="F9" s="50"/>
      <c r="G9" s="50"/>
      <c r="H9" s="50"/>
      <c r="I9" s="50"/>
      <c r="J9" s="50"/>
      <c r="K9" s="50"/>
    </row>
    <row r="10" spans="1:11" ht="15">
      <c r="A10" s="50"/>
      <c r="B10" s="50"/>
      <c r="C10" s="50"/>
      <c r="D10" s="50"/>
      <c r="E10" s="50"/>
      <c r="F10" s="50"/>
      <c r="G10" s="50"/>
      <c r="H10" s="50"/>
      <c r="I10" s="50"/>
      <c r="J10" s="50"/>
      <c r="K10" s="50"/>
    </row>
    <row r="11" spans="1:11" ht="15">
      <c r="A11" s="50"/>
      <c r="B11" s="50"/>
      <c r="C11" s="50"/>
      <c r="D11" s="50"/>
      <c r="E11" s="50"/>
      <c r="F11" s="50"/>
      <c r="G11" s="50"/>
      <c r="H11" s="50"/>
      <c r="I11" s="50"/>
      <c r="J11" s="50"/>
      <c r="K11" s="50"/>
    </row>
    <row r="12" spans="1:11" ht="15">
      <c r="A12" s="50"/>
      <c r="B12" s="50"/>
      <c r="C12" s="50"/>
      <c r="D12" s="50"/>
      <c r="E12" s="50"/>
      <c r="F12" s="50"/>
      <c r="G12" s="50"/>
      <c r="H12" s="50"/>
      <c r="I12" s="50"/>
      <c r="J12" s="50"/>
      <c r="K12" s="50"/>
    </row>
    <row r="13" spans="1:11" ht="15">
      <c r="A13" s="50"/>
      <c r="B13" s="50"/>
      <c r="C13" s="50"/>
      <c r="D13" s="50"/>
      <c r="E13" s="50"/>
      <c r="F13" s="50"/>
      <c r="G13" s="50"/>
      <c r="H13" s="50"/>
      <c r="I13" s="50"/>
      <c r="J13" s="50"/>
      <c r="K13" s="50"/>
    </row>
    <row r="14" spans="1:11" ht="15">
      <c r="A14" s="50"/>
      <c r="B14" s="50"/>
      <c r="C14" s="50"/>
      <c r="D14" s="50"/>
      <c r="E14" s="50"/>
      <c r="F14" s="50"/>
      <c r="G14" s="50"/>
      <c r="H14" s="50"/>
      <c r="I14" s="50"/>
      <c r="J14" s="50"/>
      <c r="K14" s="50"/>
    </row>
    <row r="15" spans="1:11" ht="15">
      <c r="A15" s="50"/>
      <c r="B15" s="50"/>
      <c r="C15" s="50"/>
      <c r="D15" s="50"/>
      <c r="E15" s="50"/>
      <c r="F15" s="50"/>
      <c r="G15" s="50"/>
      <c r="H15" s="50"/>
      <c r="I15" s="50"/>
      <c r="J15" s="50"/>
      <c r="K15" s="50"/>
    </row>
    <row r="16" spans="1:11" ht="15">
      <c r="A16" s="50"/>
      <c r="B16" s="50"/>
      <c r="C16" s="50"/>
      <c r="D16" s="50"/>
      <c r="E16" s="50"/>
      <c r="F16" s="50"/>
      <c r="G16" s="50"/>
      <c r="H16" s="50"/>
      <c r="I16" s="50"/>
      <c r="J16" s="50"/>
      <c r="K16" s="50"/>
    </row>
    <row r="17" spans="1:11" ht="15">
      <c r="A17" s="50"/>
      <c r="B17" s="50"/>
      <c r="C17" s="50"/>
      <c r="D17" s="50"/>
      <c r="E17" s="50"/>
      <c r="F17" s="50"/>
      <c r="G17" s="50"/>
      <c r="H17" s="50"/>
      <c r="I17" s="50"/>
      <c r="J17" s="50"/>
      <c r="K17" s="50"/>
    </row>
    <row r="18" spans="1:11" ht="15">
      <c r="A18" s="50"/>
      <c r="B18" s="50"/>
      <c r="C18" s="50"/>
      <c r="D18" s="50"/>
      <c r="E18" s="50"/>
      <c r="F18" s="50"/>
      <c r="G18" s="50"/>
      <c r="H18" s="50"/>
      <c r="I18" s="50"/>
      <c r="J18" s="50"/>
      <c r="K18" s="50"/>
    </row>
    <row r="19" spans="1:11" ht="15">
      <c r="A19" s="50"/>
      <c r="B19" s="50"/>
      <c r="C19" s="50"/>
      <c r="D19" s="50"/>
      <c r="E19" s="50"/>
      <c r="F19" s="50"/>
      <c r="G19" s="50"/>
      <c r="H19" s="50"/>
      <c r="I19" s="50"/>
      <c r="J19" s="50"/>
      <c r="K19" s="50"/>
    </row>
    <row r="20" spans="1:11" ht="15">
      <c r="A20" s="50"/>
      <c r="B20" s="50"/>
      <c r="C20" s="50"/>
      <c r="D20" s="50"/>
      <c r="E20" s="50"/>
      <c r="F20" s="50"/>
      <c r="G20" s="50"/>
      <c r="H20" s="50"/>
      <c r="I20" s="50"/>
      <c r="J20" s="50"/>
      <c r="K20" s="50"/>
    </row>
    <row r="21" spans="1:11" ht="15">
      <c r="A21" s="50"/>
      <c r="B21" s="50"/>
      <c r="C21" s="50"/>
      <c r="D21" s="50"/>
      <c r="E21" s="50"/>
      <c r="F21" s="50"/>
      <c r="G21" s="50"/>
      <c r="H21" s="50"/>
      <c r="I21" s="50"/>
      <c r="J21" s="50"/>
      <c r="K21" s="50"/>
    </row>
    <row r="22" spans="1:11" ht="15">
      <c r="A22" s="50"/>
      <c r="B22" s="50"/>
      <c r="C22" s="50"/>
      <c r="D22" s="50"/>
      <c r="E22" s="50"/>
      <c r="F22" s="50"/>
      <c r="G22" s="50"/>
      <c r="H22" s="50"/>
      <c r="I22" s="50"/>
      <c r="J22" s="50"/>
      <c r="K22" s="50"/>
    </row>
    <row r="23" spans="1:11" ht="15">
      <c r="A23" s="50"/>
      <c r="B23" s="50"/>
      <c r="C23" s="50"/>
      <c r="D23" s="50"/>
      <c r="E23" s="50"/>
      <c r="F23" s="50"/>
      <c r="G23" s="50"/>
      <c r="H23" s="50"/>
      <c r="I23" s="50"/>
      <c r="J23" s="50"/>
      <c r="K23" s="50"/>
    </row>
    <row r="24" spans="1:11" ht="15">
      <c r="A24" s="50"/>
      <c r="B24" s="50"/>
      <c r="C24" s="50"/>
      <c r="D24" s="50"/>
      <c r="E24" s="50"/>
      <c r="F24" s="50"/>
      <c r="G24" s="50"/>
      <c r="H24" s="50"/>
      <c r="I24" s="50"/>
      <c r="J24" s="50"/>
      <c r="K24" s="50"/>
    </row>
    <row r="25" spans="1:11" ht="15">
      <c r="A25" s="50"/>
      <c r="B25" s="50"/>
      <c r="C25" s="50"/>
      <c r="D25" s="50"/>
      <c r="E25" s="50"/>
      <c r="F25" s="50"/>
      <c r="G25" s="50"/>
      <c r="H25" s="50"/>
      <c r="I25" s="50"/>
      <c r="J25" s="50"/>
      <c r="K25" s="50"/>
    </row>
    <row r="26" spans="1:11" ht="15">
      <c r="A26" s="50"/>
      <c r="B26" s="50"/>
      <c r="C26" s="50"/>
      <c r="D26" s="50"/>
      <c r="E26" s="50"/>
      <c r="F26" s="50"/>
      <c r="G26" s="50"/>
      <c r="H26" s="50"/>
      <c r="I26" s="50"/>
      <c r="J26" s="50"/>
      <c r="K26" s="50"/>
    </row>
    <row r="27" spans="1:11" ht="15">
      <c r="A27" s="72" t="s">
        <v>4</v>
      </c>
      <c r="B27" s="73" t="s">
        <v>5</v>
      </c>
      <c r="C27" s="74" t="s">
        <v>35</v>
      </c>
      <c r="D27" s="75" t="s">
        <v>3</v>
      </c>
      <c r="E27" s="55" t="s">
        <v>19</v>
      </c>
      <c r="F27" s="50"/>
      <c r="G27" s="54" t="s">
        <v>4</v>
      </c>
      <c r="H27" s="76" t="s">
        <v>18</v>
      </c>
      <c r="I27" s="55" t="s">
        <v>19</v>
      </c>
      <c r="J27" s="50"/>
      <c r="K27" s="50"/>
    </row>
    <row r="28" spans="1:11" ht="15">
      <c r="A28" s="56" t="s">
        <v>6</v>
      </c>
      <c r="B28" s="65">
        <v>22</v>
      </c>
      <c r="C28" s="66">
        <v>18</v>
      </c>
      <c r="D28" s="67">
        <v>14</v>
      </c>
      <c r="E28" s="57" t="s">
        <v>21</v>
      </c>
      <c r="F28" s="50"/>
      <c r="G28" s="58" t="s">
        <v>20</v>
      </c>
      <c r="H28" s="71">
        <v>32</v>
      </c>
      <c r="I28" s="59" t="s">
        <v>21</v>
      </c>
      <c r="J28" s="50"/>
      <c r="K28" s="50"/>
    </row>
    <row r="29" spans="1:11" ht="15">
      <c r="A29" s="56" t="s">
        <v>40</v>
      </c>
      <c r="B29" s="65">
        <f>D3</f>
        <v>65</v>
      </c>
      <c r="C29" s="66">
        <f>D3</f>
        <v>65</v>
      </c>
      <c r="D29" s="67">
        <f>D3</f>
        <v>65</v>
      </c>
      <c r="E29" s="57" t="s">
        <v>21</v>
      </c>
      <c r="F29" s="50"/>
      <c r="G29" s="56" t="s">
        <v>22</v>
      </c>
      <c r="H29" s="71">
        <v>13</v>
      </c>
      <c r="I29" s="57" t="s">
        <v>21</v>
      </c>
      <c r="J29" s="50"/>
      <c r="K29" s="50"/>
    </row>
    <row r="30" spans="1:11" ht="15">
      <c r="A30" s="56" t="s">
        <v>7</v>
      </c>
      <c r="B30" s="68">
        <f>D4*TAN((B29)*PI()/180)</f>
        <v>3.216760380764338</v>
      </c>
      <c r="C30" s="69">
        <f>D4*TAN((C29)*PI()/180)</f>
        <v>3.216760380764338</v>
      </c>
      <c r="D30" s="70">
        <f>D4*TAN((D29)*PI()/180)</f>
        <v>3.216760380764338</v>
      </c>
      <c r="E30" s="60" t="s">
        <v>24</v>
      </c>
      <c r="F30" s="50"/>
      <c r="G30" s="56" t="s">
        <v>40</v>
      </c>
      <c r="H30" s="71">
        <f>D3</f>
        <v>65</v>
      </c>
      <c r="I30" s="57" t="s">
        <v>21</v>
      </c>
      <c r="J30" s="50"/>
      <c r="K30" s="50"/>
    </row>
    <row r="31" spans="1:11" ht="15">
      <c r="A31" s="56" t="s">
        <v>8</v>
      </c>
      <c r="B31" s="68">
        <f>D4*TAN((B29+B28)*PI()/180)</f>
        <v>28.621705031592242</v>
      </c>
      <c r="C31" s="69">
        <f>D4*TAN((C29+C28)*PI()/180)</f>
        <v>12.21651964196189</v>
      </c>
      <c r="D31" s="70">
        <f>D4*TAN((D29+D28)*PI()/180)</f>
        <v>7.716831023955461</v>
      </c>
      <c r="E31" s="60" t="s">
        <v>24</v>
      </c>
      <c r="F31" s="50"/>
      <c r="G31" s="56" t="s">
        <v>23</v>
      </c>
      <c r="H31" s="63">
        <f>D4*TAN(RADIANS(H30))</f>
        <v>3.216760380764338</v>
      </c>
      <c r="I31" s="60" t="s">
        <v>24</v>
      </c>
      <c r="J31" s="50"/>
      <c r="K31" s="50"/>
    </row>
    <row r="32" spans="1:11" ht="15">
      <c r="A32" s="56" t="s">
        <v>9</v>
      </c>
      <c r="B32" s="68">
        <f>D4*TAN((B29-B28)*PI()/180)</f>
        <v>1.3987726292064924</v>
      </c>
      <c r="C32" s="69">
        <f>D4*TAN((C29-C28)*PI()/180)</f>
        <v>1.6085530650370239</v>
      </c>
      <c r="D32" s="70">
        <f>D4*TAN((D29-D28)*PI()/180)</f>
        <v>1.8523457348025767</v>
      </c>
      <c r="E32" s="60" t="s">
        <v>24</v>
      </c>
      <c r="F32" s="50"/>
      <c r="G32" s="56" t="s">
        <v>25</v>
      </c>
      <c r="H32" s="63">
        <f>D4*TAN(RADIANS(H30-H29))</f>
        <v>1.9199124482896182</v>
      </c>
      <c r="I32" s="60" t="s">
        <v>24</v>
      </c>
      <c r="J32" s="50"/>
      <c r="K32" s="50"/>
    </row>
    <row r="33" spans="1:11" ht="15">
      <c r="A33" s="56" t="s">
        <v>10</v>
      </c>
      <c r="B33" s="68">
        <f>B31-B32</f>
        <v>27.22293240238575</v>
      </c>
      <c r="C33" s="69">
        <f>C31-C32</f>
        <v>10.607966576924866</v>
      </c>
      <c r="D33" s="70">
        <f>D31-D32</f>
        <v>5.864485289152884</v>
      </c>
      <c r="E33" s="60" t="s">
        <v>24</v>
      </c>
      <c r="F33" s="50"/>
      <c r="G33" s="56" t="s">
        <v>26</v>
      </c>
      <c r="H33" s="63">
        <f>D4*TAN(RADIANS(H30+H29))</f>
        <v>7.056945164217677</v>
      </c>
      <c r="I33" s="60" t="s">
        <v>24</v>
      </c>
      <c r="J33" s="50"/>
      <c r="K33" s="50"/>
    </row>
    <row r="34" spans="1:11" ht="15">
      <c r="A34" s="56" t="s">
        <v>11</v>
      </c>
      <c r="B34" s="68">
        <f>B33/2</f>
        <v>13.611466201192876</v>
      </c>
      <c r="C34" s="69">
        <f>C33/2</f>
        <v>5.303983288462433</v>
      </c>
      <c r="D34" s="70">
        <f>D33/2</f>
        <v>2.932242644576442</v>
      </c>
      <c r="E34" s="60" t="s">
        <v>24</v>
      </c>
      <c r="F34" s="50"/>
      <c r="G34" s="56" t="s">
        <v>27</v>
      </c>
      <c r="H34" s="63">
        <f>H33-H32</f>
        <v>5.137032715928059</v>
      </c>
      <c r="I34" s="60" t="s">
        <v>24</v>
      </c>
      <c r="J34" s="50"/>
      <c r="K34" s="50"/>
    </row>
    <row r="35" spans="1:11" ht="15">
      <c r="A35" s="56" t="s">
        <v>12</v>
      </c>
      <c r="B35" s="68">
        <f>B31-B30</f>
        <v>25.404944650827904</v>
      </c>
      <c r="C35" s="69">
        <f>C31-C30</f>
        <v>8.999759261197552</v>
      </c>
      <c r="D35" s="70">
        <f>D31-D30</f>
        <v>4.500070643191123</v>
      </c>
      <c r="E35" s="60" t="s">
        <v>24</v>
      </c>
      <c r="F35" s="50"/>
      <c r="G35" s="56" t="s">
        <v>28</v>
      </c>
      <c r="H35" s="63">
        <f>(-0.0002857635*H30^2-0.01268361*H30+2.525659)*H34</f>
        <v>2.5370446480944415</v>
      </c>
      <c r="I35" s="60" t="s">
        <v>24</v>
      </c>
      <c r="J35" s="50"/>
      <c r="K35" s="50"/>
    </row>
    <row r="36" spans="1:11" ht="15">
      <c r="A36" s="56" t="s">
        <v>13</v>
      </c>
      <c r="B36" s="68">
        <f>B35-B34</f>
        <v>11.793478449635028</v>
      </c>
      <c r="C36" s="69">
        <f>C35-C34</f>
        <v>3.6957759727351185</v>
      </c>
      <c r="D36" s="70">
        <f>D35-D34</f>
        <v>1.5678279986146806</v>
      </c>
      <c r="E36" s="60" t="s">
        <v>24</v>
      </c>
      <c r="F36" s="50"/>
      <c r="G36" s="56" t="s">
        <v>29</v>
      </c>
      <c r="H36" s="63">
        <f>(-0.0003701015*H30^2+0.009409036*H30+2.518837)*H34</f>
        <v>8.048422903875645</v>
      </c>
      <c r="I36" s="60" t="s">
        <v>24</v>
      </c>
      <c r="J36" s="50"/>
      <c r="K36" s="50"/>
    </row>
    <row r="37" spans="1:11" ht="15">
      <c r="A37" s="56" t="s">
        <v>14</v>
      </c>
      <c r="B37" s="68">
        <f>SQRT(B30^2+D4^2)</f>
        <v>3.549302374728748</v>
      </c>
      <c r="C37" s="69">
        <f>SQRT(C30^2+D4^2)</f>
        <v>3.549302374728748</v>
      </c>
      <c r="D37" s="70">
        <f>SQRT(D30^2+D4^2)</f>
        <v>3.549302374728748</v>
      </c>
      <c r="E37" s="60" t="s">
        <v>24</v>
      </c>
      <c r="F37" s="50"/>
      <c r="G37" s="61" t="s">
        <v>30</v>
      </c>
      <c r="H37" s="64">
        <f>H34*(H35+H36)/2</f>
        <v>27.188946563932618</v>
      </c>
      <c r="I37" s="62" t="s">
        <v>31</v>
      </c>
      <c r="J37" s="50"/>
      <c r="K37" s="50"/>
    </row>
    <row r="38" spans="1:11" ht="15">
      <c r="A38" s="56" t="s">
        <v>15</v>
      </c>
      <c r="B38" s="68">
        <f>B37*TAN(B28*PI()/180)</f>
        <v>1.4340112428094154</v>
      </c>
      <c r="C38" s="69">
        <f>C37*TAN(C28*PI()/180)</f>
        <v>1.1532382494355977</v>
      </c>
      <c r="D38" s="70">
        <f>D37*TAN(D28*PI()/180)</f>
        <v>0.8849404725776773</v>
      </c>
      <c r="E38" s="60" t="s">
        <v>24</v>
      </c>
      <c r="F38" s="50"/>
      <c r="G38" s="50"/>
      <c r="H38" s="50"/>
      <c r="I38" s="50"/>
      <c r="J38" s="50"/>
      <c r="K38" s="50"/>
    </row>
    <row r="39" spans="1:11" ht="15">
      <c r="A39" s="56" t="s">
        <v>16</v>
      </c>
      <c r="B39" s="68">
        <f>SQRT(B38^2/(1-(B36/B34)^2))</f>
        <v>2.8721218595362776</v>
      </c>
      <c r="C39" s="69">
        <f>SQRT(C38^2/(1-(C36/C34)^2))</f>
        <v>1.6078099882658514</v>
      </c>
      <c r="D39" s="70">
        <f>SQRT(D38^2/(1-(D36/D34)^2))</f>
        <v>1.047203563609185</v>
      </c>
      <c r="E39" s="60" t="s">
        <v>24</v>
      </c>
      <c r="F39" s="50"/>
      <c r="G39" s="50"/>
      <c r="H39" s="50"/>
      <c r="I39" s="50"/>
      <c r="J39" s="50"/>
      <c r="K39" s="50"/>
    </row>
    <row r="40" spans="1:11" ht="15">
      <c r="A40" s="61" t="s">
        <v>17</v>
      </c>
      <c r="B40" s="64">
        <f>PI()*B34*B39</f>
        <v>122.81676226107756</v>
      </c>
      <c r="C40" s="64">
        <f>PI()*C34*C39</f>
        <v>26.79086537658194</v>
      </c>
      <c r="D40" s="64">
        <f>PI()*D34*D39</f>
        <v>9.646747022473216</v>
      </c>
      <c r="E40" s="62" t="s">
        <v>31</v>
      </c>
      <c r="F40" s="50"/>
      <c r="G40" s="50"/>
      <c r="H40" s="50"/>
      <c r="I40" s="50"/>
      <c r="J40" s="50"/>
      <c r="K40" s="50"/>
    </row>
  </sheetData>
  <sheetProtection password="C4FC" sheet="1" objects="1" scenarios="1" selectLockedCells="1"/>
  <mergeCells count="2">
    <mergeCell ref="A1:C2"/>
    <mergeCell ref="G1:K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Lindsley</dc:creator>
  <cp:keywords/>
  <dc:description/>
  <cp:lastModifiedBy>Elisa Myers</cp:lastModifiedBy>
  <dcterms:created xsi:type="dcterms:W3CDTF">2014-07-15T20:31:46Z</dcterms:created>
  <dcterms:modified xsi:type="dcterms:W3CDTF">2016-09-26T17:34:53Z</dcterms:modified>
  <cp:category/>
  <cp:version/>
  <cp:contentType/>
  <cp:contentStatus/>
</cp:coreProperties>
</file>